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45" windowWidth="20610" windowHeight="10035"/>
  </bookViews>
  <sheets>
    <sheet name="Calculator" sheetId="2" r:id="rId1"/>
    <sheet name="Assumptions and Estimates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78" i="2" l="1"/>
  <c r="L78" i="2"/>
  <c r="K79" i="2"/>
  <c r="L79" i="2"/>
  <c r="K80" i="2"/>
  <c r="L80" i="2"/>
  <c r="J79" i="2"/>
  <c r="J80" i="2"/>
  <c r="J78" i="2"/>
  <c r="G78" i="2"/>
  <c r="H78" i="2"/>
  <c r="G79" i="2"/>
  <c r="H79" i="2"/>
  <c r="G80" i="2"/>
  <c r="H80" i="2"/>
  <c r="F79" i="2"/>
  <c r="F80" i="2"/>
  <c r="F78" i="2"/>
  <c r="C78" i="2"/>
  <c r="D78" i="2"/>
  <c r="C79" i="2"/>
  <c r="D79" i="2"/>
  <c r="C80" i="2"/>
  <c r="D80" i="2"/>
  <c r="B79" i="2"/>
  <c r="B80" i="2"/>
  <c r="B78" i="2"/>
  <c r="D17" i="2"/>
  <c r="C17" i="2"/>
  <c r="B17" i="2"/>
  <c r="D16" i="2"/>
  <c r="C16" i="2"/>
  <c r="B16" i="2"/>
  <c r="D18" i="2" l="1"/>
  <c r="C18" i="2"/>
  <c r="D4" i="1"/>
  <c r="E4" i="1" s="1"/>
  <c r="D5" i="1"/>
  <c r="E5" i="1" s="1"/>
  <c r="D13" i="1"/>
  <c r="E13" i="1" s="1"/>
  <c r="D14" i="1"/>
  <c r="E14" i="1" s="1"/>
  <c r="D18" i="1"/>
  <c r="E18" i="1" s="1"/>
  <c r="D19" i="1"/>
  <c r="E19" i="1"/>
  <c r="L26" i="2" l="1"/>
  <c r="K25" i="2"/>
  <c r="J24" i="2"/>
  <c r="L25" i="2"/>
  <c r="K24" i="2"/>
  <c r="L24" i="2"/>
  <c r="J26" i="2"/>
  <c r="K26" i="2"/>
  <c r="J25" i="2"/>
  <c r="G26" i="2"/>
  <c r="F25" i="2"/>
  <c r="H26" i="2"/>
  <c r="G25" i="2"/>
  <c r="F24" i="2"/>
  <c r="H25" i="2"/>
  <c r="G24" i="2"/>
  <c r="H24" i="2"/>
  <c r="F26" i="2"/>
  <c r="E6" i="1"/>
  <c r="E15" i="1"/>
  <c r="E20" i="1"/>
  <c r="E21" i="1" s="1"/>
  <c r="B11" i="2"/>
  <c r="B36" i="2"/>
  <c r="C43" i="2" l="1"/>
  <c r="D40" i="2"/>
  <c r="C42" i="2"/>
  <c r="C40" i="2"/>
  <c r="D43" i="2"/>
  <c r="B43" i="2"/>
  <c r="B40" i="2"/>
  <c r="D42" i="2"/>
  <c r="B42" i="2"/>
  <c r="B15" i="2"/>
  <c r="D15" i="2"/>
  <c r="L29" i="2" s="1"/>
  <c r="C15" i="2"/>
  <c r="E22" i="1"/>
  <c r="B18" i="2"/>
  <c r="B61" i="2" l="1"/>
  <c r="B44" i="2"/>
  <c r="D44" i="2"/>
  <c r="C44" i="2"/>
  <c r="H31" i="2"/>
  <c r="C61" i="2"/>
  <c r="K31" i="2"/>
  <c r="D61" i="2"/>
  <c r="D51" i="2"/>
  <c r="D56" i="2" s="1"/>
  <c r="C50" i="2"/>
  <c r="C55" i="2" s="1"/>
  <c r="B49" i="2"/>
  <c r="B54" i="2" s="1"/>
  <c r="D50" i="2"/>
  <c r="D55" i="2" s="1"/>
  <c r="C49" i="2"/>
  <c r="C54" i="2" s="1"/>
  <c r="D49" i="2"/>
  <c r="D54" i="2" s="1"/>
  <c r="B51" i="2"/>
  <c r="B56" i="2" s="1"/>
  <c r="C51" i="2"/>
  <c r="C56" i="2" s="1"/>
  <c r="B50" i="2"/>
  <c r="B55" i="2" s="1"/>
  <c r="K29" i="2"/>
  <c r="J30" i="2"/>
  <c r="K30" i="2"/>
  <c r="L30" i="2"/>
  <c r="G30" i="2"/>
  <c r="F29" i="2"/>
  <c r="L31" i="2"/>
  <c r="G29" i="2"/>
  <c r="F31" i="2"/>
  <c r="J29" i="2"/>
  <c r="H30" i="2"/>
  <c r="J31" i="2"/>
  <c r="H29" i="2"/>
  <c r="G31" i="2"/>
  <c r="F30" i="2"/>
  <c r="D26" i="2"/>
  <c r="D68" i="2" s="1"/>
  <c r="C25" i="2"/>
  <c r="C67" i="2" s="1"/>
  <c r="B24" i="2"/>
  <c r="B66" i="2" s="1"/>
  <c r="D25" i="2"/>
  <c r="D67" i="2" s="1"/>
  <c r="C24" i="2"/>
  <c r="C66" i="2" s="1"/>
  <c r="D24" i="2"/>
  <c r="D66" i="2" s="1"/>
  <c r="B26" i="2"/>
  <c r="B68" i="2" s="1"/>
  <c r="C26" i="2"/>
  <c r="C68" i="2" s="1"/>
  <c r="B25" i="2"/>
  <c r="B30" i="2" l="1"/>
  <c r="B73" i="2" s="1"/>
  <c r="B67" i="2"/>
  <c r="H51" i="2"/>
  <c r="H50" i="2"/>
  <c r="F51" i="2"/>
  <c r="G50" i="2"/>
  <c r="G49" i="2"/>
  <c r="F49" i="2"/>
  <c r="F50" i="2"/>
  <c r="G51" i="2"/>
  <c r="H49" i="2"/>
  <c r="L49" i="2"/>
  <c r="J50" i="2"/>
  <c r="L50" i="2"/>
  <c r="J51" i="2"/>
  <c r="J49" i="2"/>
  <c r="K49" i="2"/>
  <c r="K50" i="2"/>
  <c r="L51" i="2"/>
  <c r="K51" i="2"/>
  <c r="D30" i="2"/>
  <c r="D73" i="2" s="1"/>
  <c r="B29" i="2"/>
  <c r="B72" i="2" s="1"/>
  <c r="D29" i="2"/>
  <c r="D72" i="2" s="1"/>
  <c r="C29" i="2"/>
  <c r="C72" i="2" s="1"/>
  <c r="C30" i="2"/>
  <c r="C73" i="2" s="1"/>
  <c r="D31" i="2"/>
  <c r="D74" i="2" s="1"/>
  <c r="C31" i="2"/>
  <c r="C74" i="2" s="1"/>
  <c r="B31" i="2"/>
  <c r="B74" i="2" s="1"/>
  <c r="L56" i="2" l="1"/>
  <c r="L74" i="2" s="1"/>
  <c r="L68" i="2"/>
  <c r="J56" i="2"/>
  <c r="J74" i="2" s="1"/>
  <c r="J68" i="2"/>
  <c r="H54" i="2"/>
  <c r="H72" i="2" s="1"/>
  <c r="H66" i="2"/>
  <c r="G54" i="2"/>
  <c r="G72" i="2" s="1"/>
  <c r="G66" i="2"/>
  <c r="H56" i="2"/>
  <c r="H74" i="2" s="1"/>
  <c r="H68" i="2"/>
  <c r="K55" i="2"/>
  <c r="K73" i="2" s="1"/>
  <c r="K67" i="2"/>
  <c r="L55" i="2"/>
  <c r="L73" i="2" s="1"/>
  <c r="L67" i="2"/>
  <c r="G56" i="2"/>
  <c r="G74" i="2" s="1"/>
  <c r="G68" i="2"/>
  <c r="G55" i="2"/>
  <c r="G73" i="2" s="1"/>
  <c r="G67" i="2"/>
  <c r="K54" i="2"/>
  <c r="K72" i="2" s="1"/>
  <c r="K66" i="2"/>
  <c r="J55" i="2"/>
  <c r="J73" i="2" s="1"/>
  <c r="J67" i="2"/>
  <c r="F55" i="2"/>
  <c r="F73" i="2" s="1"/>
  <c r="F67" i="2"/>
  <c r="F56" i="2"/>
  <c r="F74" i="2" s="1"/>
  <c r="F68" i="2"/>
  <c r="K56" i="2"/>
  <c r="K74" i="2" s="1"/>
  <c r="K68" i="2"/>
  <c r="J54" i="2"/>
  <c r="J72" i="2" s="1"/>
  <c r="J66" i="2"/>
  <c r="L54" i="2"/>
  <c r="L72" i="2" s="1"/>
  <c r="L66" i="2"/>
  <c r="F54" i="2"/>
  <c r="F72" i="2" s="1"/>
  <c r="F66" i="2"/>
  <c r="H55" i="2"/>
  <c r="H73" i="2" s="1"/>
  <c r="H67" i="2"/>
</calcChain>
</file>

<file path=xl/sharedStrings.xml><?xml version="1.0" encoding="utf-8"?>
<sst xmlns="http://schemas.openxmlformats.org/spreadsheetml/2006/main" count="230" uniqueCount="76">
  <si>
    <t>No HS</t>
  </si>
  <si>
    <t>HS diploma</t>
  </si>
  <si>
    <t>Some college</t>
  </si>
  <si>
    <t>Associate's</t>
  </si>
  <si>
    <t>Bachelor's</t>
  </si>
  <si>
    <t>Labor Force Participation Rate</t>
  </si>
  <si>
    <t>High</t>
  </si>
  <si>
    <t>Medium</t>
  </si>
  <si>
    <t>Low</t>
  </si>
  <si>
    <t>Federal Tax Revenue (middle quintile)</t>
  </si>
  <si>
    <t>Case 1: Additional enrollment of FRL students.</t>
  </si>
  <si>
    <t>Assumptions</t>
  </si>
  <si>
    <t>Enrollment status</t>
  </si>
  <si>
    <t>Pct</t>
  </si>
  <si>
    <t>Yrs Pell</t>
  </si>
  <si>
    <t>Avg Pell (scaled)</t>
  </si>
  <si>
    <t>Full-time</t>
  </si>
  <si>
    <t>Part-time</t>
  </si>
  <si>
    <t>Total Pell</t>
  </si>
  <si>
    <t>Avg. per-student Pell</t>
  </si>
  <si>
    <r>
      <t xml:space="preserve">Source: Carnevale, A.P., Rose, S.J., &amp; Cheah, B. (2011). </t>
    </r>
    <r>
      <rPr>
        <i/>
        <sz val="11"/>
        <color theme="1"/>
        <rFont val="Calibri"/>
        <family val="2"/>
        <scheme val="minor"/>
      </rPr>
      <t>The College Payoff: Education, Occupations, Lifetime Earnings</t>
    </r>
    <r>
      <rPr>
        <sz val="11"/>
        <color theme="1"/>
        <rFont val="Calibri"/>
        <family val="2"/>
        <scheme val="minor"/>
      </rPr>
      <t xml:space="preserve">. Washington, DC: The Georgetown University Center on Education and the Workforce. </t>
    </r>
  </si>
  <si>
    <t>http://www9.georgetown.edu/grad/gppi/hpi/cew/pdfs/collegepayoff-complete.pdf</t>
  </si>
  <si>
    <r>
      <t xml:space="preserve">Source: Toossi, M. (2012, January). Labor Force Projections to 2020: A More Slowly Growing Workforce. </t>
    </r>
    <r>
      <rPr>
        <i/>
        <sz val="11"/>
        <color theme="1"/>
        <rFont val="Calibri"/>
        <family val="2"/>
        <scheme val="minor"/>
      </rPr>
      <t>Monthly Labor Review</t>
    </r>
    <r>
      <rPr>
        <sz val="11"/>
        <color theme="1"/>
        <rFont val="Calibri"/>
        <family val="2"/>
        <scheme val="minor"/>
      </rPr>
      <t>, 43-64.</t>
    </r>
  </si>
  <si>
    <t>http://www.bls.gov/opub/mlr/2012/01/art3full.pdf</t>
  </si>
  <si>
    <t>Assumption: Average tax rate for middle quintile from 1993-2009.</t>
  </si>
  <si>
    <r>
      <t xml:space="preserve">Source: Harris, E. (2012, July). </t>
    </r>
    <r>
      <rPr>
        <i/>
        <sz val="11"/>
        <color theme="1"/>
        <rFont val="Calibri"/>
        <family val="2"/>
        <scheme val="minor"/>
      </rPr>
      <t>The Distribution of Household Income and Federal Taxes, 2008 and 2009</t>
    </r>
    <r>
      <rPr>
        <sz val="11"/>
        <color theme="1"/>
        <rFont val="Calibri"/>
        <family val="2"/>
        <scheme val="minor"/>
      </rPr>
      <t>. Washington, DC: Congressional Budget Office.</t>
    </r>
  </si>
  <si>
    <t>http://www.cbo.gov/sites/default/files/cbofiles/attachments/43373-06-11-HouseholdIncomeandFedTaxes.pdf</t>
  </si>
  <si>
    <t>Case 2: Increasing partial Pell to full Pell for students who wouldn't qualify in grade 12.</t>
  </si>
  <si>
    <t>Full Pell award, currently have non-zero EFC</t>
  </si>
  <si>
    <t>Current partial Pell award for non-zero EFC</t>
  </si>
  <si>
    <t>Avg. Pell</t>
  </si>
  <si>
    <t>Number of students</t>
  </si>
  <si>
    <t>Weighted per-student Pell (among partial Pells)</t>
  </si>
  <si>
    <t>AA to BA (pct)</t>
  </si>
  <si>
    <t>Calculator for estimating effectiveness of the Pell notification program.</t>
  </si>
  <si>
    <t xml:space="preserve">  From no HS diploma</t>
  </si>
  <si>
    <t xml:space="preserve">  From HS diploma</t>
  </si>
  <si>
    <t>Increase in Educational Attainment</t>
  </si>
  <si>
    <t xml:space="preserve">  To some college (pct)</t>
  </si>
  <si>
    <t xml:space="preserve">  To AA (pct)</t>
  </si>
  <si>
    <t xml:space="preserve">  To BA (pct)</t>
  </si>
  <si>
    <t>Increased enrollment (pct)</t>
  </si>
  <si>
    <t>Part 1: Assumptions on increased enrollment and educational attainment.</t>
  </si>
  <si>
    <t>Part 2: Assumptions on effects of additional Pell funds to "over-awarded" students (about $4k per student).</t>
  </si>
  <si>
    <t>Sample Size</t>
  </si>
  <si>
    <t>Pell cost (mil)</t>
  </si>
  <si>
    <t>Former earnings (mil)</t>
  </si>
  <si>
    <t>New earnings (mil)</t>
  </si>
  <si>
    <t>Earnings gain (mil)</t>
  </si>
  <si>
    <t>Tax Rate</t>
  </si>
  <si>
    <t>Now try different scenarios for labor force participation rates and tax rates.</t>
  </si>
  <si>
    <t>LFPR</t>
  </si>
  <si>
    <t>Gov't revenue</t>
  </si>
  <si>
    <t>Total benefits</t>
  </si>
  <si>
    <t>Additional earnings</t>
  </si>
  <si>
    <t>Some coll to AA (mil)</t>
  </si>
  <si>
    <t>AA to BA (mil)</t>
  </si>
  <si>
    <t>Total earnings (mil)</t>
  </si>
  <si>
    <t>Some coll to AA (pct)</t>
  </si>
  <si>
    <t>Net benefits</t>
  </si>
  <si>
    <t>Pct in this category</t>
  </si>
  <si>
    <t>Median Undiscounted Earnings</t>
  </si>
  <si>
    <t>Discount Rate</t>
  </si>
  <si>
    <t>Low (2%)</t>
  </si>
  <si>
    <t>High (5%)</t>
  </si>
  <si>
    <t>Medium (3.5%)</t>
  </si>
  <si>
    <t>Source: Moore, M.A., Boardman, A.E., Vining, A.R., Weimer, D.L., &amp; Greenberg, D.H. (2004, Autumn). “Just Give Me a Number!” Practical Values for the Social Discount Rate. Journal of Policy Analysis and Management, 23(4), 789-812.</t>
  </si>
  <si>
    <t>Benefits</t>
  </si>
  <si>
    <t>Costs</t>
  </si>
  <si>
    <t>MEDIUM DISCOUNT RATE (3.5%)</t>
  </si>
  <si>
    <t>HIGH DISCOUNT RATE (5.0%)</t>
  </si>
  <si>
    <t>LOW DISCOUNT RATE (2.0%)</t>
  </si>
  <si>
    <t>TOTAL COSTS, REVENUE, AND BENEFITS</t>
  </si>
  <si>
    <t>Total Pell costs</t>
  </si>
  <si>
    <t>B/C ratio</t>
  </si>
  <si>
    <t>Note: Everything is discounted to age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</si>
</sst>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0" fillId="0" borderId="0" xfId="0" applyFon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2" fontId="2" fillId="0" borderId="0" xfId="0" applyNumberFormat="1" applyFont="1"/>
    <xf numFmtId="1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53" workbookViewId="0">
      <selection activeCell="G73" sqref="G73"/>
    </sheetView>
  </sheetViews>
  <sheetFormatPr defaultRowHeight="15" x14ac:dyDescent="0.25"/>
  <cols>
    <col min="1" max="1" width="25" customWidth="1"/>
    <col min="2" max="2" width="9.7109375" customWidth="1"/>
    <col min="5" max="5" width="1.42578125" customWidth="1"/>
    <col min="7" max="7" width="9.140625" customWidth="1"/>
    <col min="9" max="9" width="1.42578125" customWidth="1"/>
  </cols>
  <sheetData>
    <row r="1" spans="1:5" x14ac:dyDescent="0.25">
      <c r="A1" s="2" t="s">
        <v>34</v>
      </c>
    </row>
    <row r="2" spans="1:5" x14ac:dyDescent="0.25">
      <c r="A2" s="2"/>
    </row>
    <row r="3" spans="1:5" x14ac:dyDescent="0.25">
      <c r="A3" s="2" t="s">
        <v>42</v>
      </c>
    </row>
    <row r="4" spans="1:5" x14ac:dyDescent="0.25">
      <c r="A4" t="s">
        <v>41</v>
      </c>
      <c r="B4" s="11">
        <v>0.04</v>
      </c>
    </row>
    <row r="5" spans="1:5" x14ac:dyDescent="0.25">
      <c r="A5" t="s">
        <v>35</v>
      </c>
      <c r="B5" s="11">
        <v>0.1</v>
      </c>
    </row>
    <row r="6" spans="1:5" x14ac:dyDescent="0.25">
      <c r="A6" t="s">
        <v>36</v>
      </c>
      <c r="B6" s="11">
        <v>0.9</v>
      </c>
    </row>
    <row r="7" spans="1:5" x14ac:dyDescent="0.25">
      <c r="A7" s="3" t="s">
        <v>37</v>
      </c>
      <c r="B7" s="6"/>
    </row>
    <row r="8" spans="1:5" x14ac:dyDescent="0.25">
      <c r="A8" t="s">
        <v>38</v>
      </c>
      <c r="B8" s="11">
        <v>0.5</v>
      </c>
    </row>
    <row r="9" spans="1:5" x14ac:dyDescent="0.25">
      <c r="A9" t="s">
        <v>39</v>
      </c>
      <c r="B9" s="11">
        <v>0.3</v>
      </c>
    </row>
    <row r="10" spans="1:5" x14ac:dyDescent="0.25">
      <c r="A10" t="s">
        <v>40</v>
      </c>
      <c r="B10" s="11">
        <v>0.2</v>
      </c>
    </row>
    <row r="11" spans="1:5" x14ac:dyDescent="0.25">
      <c r="A11" t="s">
        <v>44</v>
      </c>
      <c r="B11">
        <f>B4*2500000</f>
        <v>100000</v>
      </c>
    </row>
    <row r="13" spans="1:5" x14ac:dyDescent="0.25">
      <c r="B13" s="13" t="s">
        <v>62</v>
      </c>
      <c r="C13" s="13"/>
      <c r="D13" s="13"/>
      <c r="E13" s="12"/>
    </row>
    <row r="14" spans="1:5" x14ac:dyDescent="0.25">
      <c r="B14" t="s">
        <v>8</v>
      </c>
      <c r="C14" t="s">
        <v>7</v>
      </c>
      <c r="D14" t="s">
        <v>6</v>
      </c>
    </row>
    <row r="15" spans="1:5" x14ac:dyDescent="0.25">
      <c r="A15" t="s">
        <v>45</v>
      </c>
      <c r="B15" s="4">
        <f>($B$11*'Assumptions and Estimates'!$E$6*'Assumptions and Estimates'!J21)/1000000</f>
        <v>742.6971302193333</v>
      </c>
      <c r="C15" s="4">
        <f>($B$11*'Assumptions and Estimates'!$E$6*'Assumptions and Estimates'!J20)/1000000</f>
        <v>737.37179228299999</v>
      </c>
      <c r="D15" s="4">
        <f>($B$11*'Assumptions and Estimates'!$E$6*'Assumptions and Estimates'!J19)/1000000</f>
        <v>732.19646386599993</v>
      </c>
      <c r="E15" s="4"/>
    </row>
    <row r="16" spans="1:5" x14ac:dyDescent="0.25">
      <c r="A16" t="s">
        <v>46</v>
      </c>
      <c r="B16" s="4">
        <f>((2500000*($B$5*$B$4)*'Assumptions and Estimates'!$I$2*'Assumptions and Estimates'!I21)+(2500000*($B$6*$B$4)*'Assumptions and Estimates'!$I$3*'Assumptions and Estimates'!I21))/1000000</f>
        <v>73650.884999999995</v>
      </c>
      <c r="C16" s="4">
        <f>((2500000*($B$5*$B$4)*'Assumptions and Estimates'!$I$2*'Assumptions and Estimates'!I20)+(2500000*($B$6*$B$4)*'Assumptions and Estimates'!$I$3*'Assumptions and Estimates'!I20))/1000000</f>
        <v>52890.915000000008</v>
      </c>
      <c r="D16" s="4">
        <f>((2500000*($B$5*$B$4)*'Assumptions and Estimates'!$I$2*'Assumptions and Estimates'!I19)+(2500000*($B$6*$B$4)*'Assumptions and Estimates'!$I$3*'Assumptions and Estimates'!I19))/1000000</f>
        <v>39131.400000000009</v>
      </c>
      <c r="E16" s="4"/>
    </row>
    <row r="17" spans="1:12" x14ac:dyDescent="0.25">
      <c r="A17" t="s">
        <v>47</v>
      </c>
      <c r="B17" s="4">
        <f>((2500000*($B$8*$B$4)*'Assumptions and Estimates'!$I$4*'Assumptions and Estimates'!I21)+(2500000*($B$9*$B$4)*'Assumptions and Estimates'!$I$5*'Assumptions and Estimates'!I21)+(2500000*($B$10*$B$4)*'Assumptions and Estimates'!$I$6*'Assumptions and Estimates'!I21))/1000000</f>
        <v>101169.24400000001</v>
      </c>
      <c r="C17" s="4">
        <f>((2500000*($B$8*$B$4)*'Assumptions and Estimates'!$I$4*'Assumptions and Estimates'!I20)+(2500000*($B$9*$B$4)*'Assumptions and Estimates'!$I$5*'Assumptions and Estimates'!I20)+(2500000*($B$10*$B$4)*'Assumptions and Estimates'!$I$6*'Assumptions and Estimates'!I20))/1000000</f>
        <v>72652.676000000007</v>
      </c>
      <c r="D17" s="4">
        <f>((2500000*($B$8*$B$4)*'Assumptions and Estimates'!$I$4*'Assumptions and Estimates'!I19)+(2500000*($B$9*$B$4)*'Assumptions and Estimates'!$I$5*'Assumptions and Estimates'!I19)+(2500000*($B$10*$B$4)*'Assumptions and Estimates'!$I$6*'Assumptions and Estimates'!I19))/1000000</f>
        <v>53752.160000000003</v>
      </c>
      <c r="E17" s="4"/>
    </row>
    <row r="18" spans="1:12" x14ac:dyDescent="0.25">
      <c r="A18" t="s">
        <v>48</v>
      </c>
      <c r="B18" s="4">
        <f>B17-B16</f>
        <v>27518.359000000011</v>
      </c>
      <c r="C18" s="4">
        <f>C17-C16</f>
        <v>19761.760999999999</v>
      </c>
      <c r="D18" s="4">
        <f>D17-D16</f>
        <v>14620.759999999995</v>
      </c>
      <c r="E18" s="4"/>
    </row>
    <row r="19" spans="1:12" x14ac:dyDescent="0.25">
      <c r="B19" s="4"/>
      <c r="C19" s="4"/>
      <c r="D19" s="4"/>
      <c r="E19" s="4"/>
    </row>
    <row r="20" spans="1:12" x14ac:dyDescent="0.25">
      <c r="A20" t="s">
        <v>50</v>
      </c>
    </row>
    <row r="21" spans="1:12" x14ac:dyDescent="0.25">
      <c r="B21" s="13" t="s">
        <v>71</v>
      </c>
      <c r="C21" s="13"/>
      <c r="D21" s="13"/>
      <c r="E21" s="12"/>
      <c r="F21" s="13" t="s">
        <v>69</v>
      </c>
      <c r="G21" s="13"/>
      <c r="H21" s="13"/>
      <c r="I21" s="12"/>
      <c r="J21" s="13" t="s">
        <v>70</v>
      </c>
      <c r="K21" s="13"/>
      <c r="L21" s="13"/>
    </row>
    <row r="22" spans="1:12" x14ac:dyDescent="0.25">
      <c r="A22" t="s">
        <v>52</v>
      </c>
      <c r="B22" s="13" t="s">
        <v>49</v>
      </c>
      <c r="C22" s="13"/>
      <c r="D22" s="13"/>
      <c r="E22" s="12"/>
      <c r="F22" s="13" t="s">
        <v>49</v>
      </c>
      <c r="G22" s="13"/>
      <c r="H22" s="13"/>
      <c r="I22" s="12"/>
      <c r="J22" s="13" t="s">
        <v>49</v>
      </c>
      <c r="K22" s="13"/>
      <c r="L22" s="13"/>
    </row>
    <row r="23" spans="1:12" x14ac:dyDescent="0.25">
      <c r="A23" t="s">
        <v>51</v>
      </c>
      <c r="B23" t="s">
        <v>8</v>
      </c>
      <c r="C23" t="s">
        <v>7</v>
      </c>
      <c r="D23" t="s">
        <v>6</v>
      </c>
      <c r="F23" t="s">
        <v>8</v>
      </c>
      <c r="G23" t="s">
        <v>7</v>
      </c>
      <c r="H23" t="s">
        <v>6</v>
      </c>
      <c r="J23" t="s">
        <v>8</v>
      </c>
      <c r="K23" t="s">
        <v>7</v>
      </c>
      <c r="L23" t="s">
        <v>6</v>
      </c>
    </row>
    <row r="24" spans="1:12" x14ac:dyDescent="0.25">
      <c r="A24" t="s">
        <v>8</v>
      </c>
      <c r="B24" s="4">
        <f>$B$18*'Assumptions and Estimates'!$I$11*'Assumptions and Estimates'!$I$16</f>
        <v>2476.6523100000009</v>
      </c>
      <c r="C24" s="4">
        <f>$B$18*'Assumptions and Estimates'!$I$11*'Assumptions and Estimates'!$I$15</f>
        <v>3095.8153875000012</v>
      </c>
      <c r="D24" s="4">
        <f>$B$18*'Assumptions and Estimates'!$I$11*'Assumptions and Estimates'!$I$14</f>
        <v>3508.5907725000015</v>
      </c>
      <c r="E24" s="4"/>
      <c r="F24" s="4">
        <f>$C$18*'Assumptions and Estimates'!$I$11*'Assumptions and Estimates'!$I$16</f>
        <v>1778.5584899999999</v>
      </c>
      <c r="G24" s="4">
        <f>$C$18*'Assumptions and Estimates'!$I$11*'Assumptions and Estimates'!$I$15</f>
        <v>2223.1981124999998</v>
      </c>
      <c r="H24" s="4">
        <f>$C$18*'Assumptions and Estimates'!$I$11*'Assumptions and Estimates'!$I$14</f>
        <v>2519.6245275000001</v>
      </c>
      <c r="I24" s="4"/>
      <c r="J24" s="4">
        <f>$D$18*'Assumptions and Estimates'!$I$11*'Assumptions and Estimates'!$I$16</f>
        <v>1315.8683999999994</v>
      </c>
      <c r="K24" s="4">
        <f>$D$18*'Assumptions and Estimates'!$I$11*'Assumptions and Estimates'!$I$15</f>
        <v>1644.8354999999995</v>
      </c>
      <c r="L24" s="4">
        <f>$D$18*'Assumptions and Estimates'!$I$11*'Assumptions and Estimates'!$I$14</f>
        <v>1864.1468999999995</v>
      </c>
    </row>
    <row r="25" spans="1:12" x14ac:dyDescent="0.25">
      <c r="A25" t="s">
        <v>7</v>
      </c>
      <c r="B25" s="4">
        <f>$B$18*'Assumptions and Estimates'!$I$10*'Assumptions and Estimates'!$I$16</f>
        <v>2575.7184024000012</v>
      </c>
      <c r="C25" s="4">
        <f>$B$18*'Assumptions and Estimates'!$I$10*'Assumptions and Estimates'!$I$15</f>
        <v>3219.6480030000016</v>
      </c>
      <c r="D25" s="4">
        <f>$B$18*'Assumptions and Estimates'!$I$10*'Assumptions and Estimates'!$I$14</f>
        <v>3648.9344034000019</v>
      </c>
      <c r="E25" s="4"/>
      <c r="F25" s="4">
        <f>$C$18*'Assumptions and Estimates'!$I$10*'Assumptions and Estimates'!$I$16</f>
        <v>1849.7008295999997</v>
      </c>
      <c r="G25" s="4">
        <f>$C$18*'Assumptions and Estimates'!$I$10*'Assumptions and Estimates'!$I$15</f>
        <v>2312.1260369999995</v>
      </c>
      <c r="H25" s="4">
        <f>$C$18*'Assumptions and Estimates'!$I$10*'Assumptions and Estimates'!$I$14</f>
        <v>2620.4095085999998</v>
      </c>
      <c r="I25" s="4"/>
      <c r="J25" s="4">
        <f>$D$18*'Assumptions and Estimates'!$I$10*'Assumptions and Estimates'!$I$16</f>
        <v>1368.5031359999996</v>
      </c>
      <c r="K25" s="4">
        <f>$D$18*'Assumptions and Estimates'!$I$10*'Assumptions and Estimates'!$I$15</f>
        <v>1710.6289199999994</v>
      </c>
      <c r="L25" s="4">
        <f>$D$18*'Assumptions and Estimates'!$I$10*'Assumptions and Estimates'!$I$14</f>
        <v>1938.7127759999996</v>
      </c>
    </row>
    <row r="26" spans="1:12" x14ac:dyDescent="0.25">
      <c r="A26" t="s">
        <v>6</v>
      </c>
      <c r="B26" s="4">
        <f>$B$18*'Assumptions and Estimates'!$I$9*'Assumptions and Estimates'!$I$16</f>
        <v>2674.7844948000015</v>
      </c>
      <c r="C26" s="4">
        <f>$B$18*'Assumptions and Estimates'!$I$9*'Assumptions and Estimates'!$I$15</f>
        <v>3343.4806185000016</v>
      </c>
      <c r="D26" s="4">
        <f>$B$18*'Assumptions and Estimates'!$I$9*'Assumptions and Estimates'!$I$14</f>
        <v>3789.2780343000022</v>
      </c>
      <c r="E26" s="4"/>
      <c r="F26" s="4">
        <f>$C$18*'Assumptions and Estimates'!$I$9*'Assumptions and Estimates'!$I$16</f>
        <v>1920.8431691999999</v>
      </c>
      <c r="G26" s="4">
        <f>$C$18*'Assumptions and Estimates'!$I$9*'Assumptions and Estimates'!$I$15</f>
        <v>2401.0539614999998</v>
      </c>
      <c r="H26" s="4">
        <f>$C$18*'Assumptions and Estimates'!$I$9*'Assumptions and Estimates'!$I$14</f>
        <v>2721.1944897000003</v>
      </c>
      <c r="I26" s="4"/>
      <c r="J26" s="4">
        <f>$D$18*'Assumptions and Estimates'!$I$9*'Assumptions and Estimates'!$I$16</f>
        <v>1421.1378719999996</v>
      </c>
      <c r="K26" s="4">
        <f>$D$18*'Assumptions and Estimates'!$I$9*'Assumptions and Estimates'!$I$15</f>
        <v>1776.4223399999994</v>
      </c>
      <c r="L26" s="4">
        <f>$D$18*'Assumptions and Estimates'!$I$9*'Assumptions and Estimates'!$I$14</f>
        <v>2013.2786519999995</v>
      </c>
    </row>
    <row r="27" spans="1:12" x14ac:dyDescent="0.25">
      <c r="A27" t="s">
        <v>59</v>
      </c>
      <c r="B27" s="13" t="s">
        <v>49</v>
      </c>
      <c r="C27" s="13"/>
      <c r="D27" s="13"/>
      <c r="E27" s="12"/>
      <c r="F27" s="13" t="s">
        <v>49</v>
      </c>
      <c r="G27" s="13"/>
      <c r="H27" s="13"/>
      <c r="I27" s="12"/>
      <c r="J27" s="13" t="s">
        <v>49</v>
      </c>
      <c r="K27" s="13"/>
      <c r="L27" s="13"/>
    </row>
    <row r="28" spans="1:12" x14ac:dyDescent="0.25">
      <c r="A28" t="s">
        <v>51</v>
      </c>
      <c r="B28" t="s">
        <v>8</v>
      </c>
      <c r="C28" t="s">
        <v>7</v>
      </c>
      <c r="D28" t="s">
        <v>6</v>
      </c>
      <c r="F28" t="s">
        <v>8</v>
      </c>
      <c r="G28" t="s">
        <v>7</v>
      </c>
      <c r="H28" t="s">
        <v>6</v>
      </c>
      <c r="J28" t="s">
        <v>8</v>
      </c>
      <c r="K28" t="s">
        <v>7</v>
      </c>
      <c r="L28" t="s">
        <v>6</v>
      </c>
    </row>
    <row r="29" spans="1:12" x14ac:dyDescent="0.25">
      <c r="A29" t="s">
        <v>8</v>
      </c>
      <c r="B29" s="4">
        <f>B24-$B$15</f>
        <v>1733.9551797806675</v>
      </c>
      <c r="C29" s="4">
        <f t="shared" ref="C29:D29" si="0">C24-$B$15</f>
        <v>2353.1182572806679</v>
      </c>
      <c r="D29" s="4">
        <f t="shared" si="0"/>
        <v>2765.8936422806682</v>
      </c>
      <c r="E29" s="4"/>
      <c r="F29" s="4">
        <f>F24-$C$15</f>
        <v>1041.1866977169998</v>
      </c>
      <c r="G29" s="4">
        <f t="shared" ref="G29:H29" si="1">G24-$C$15</f>
        <v>1485.8263202169996</v>
      </c>
      <c r="H29" s="4">
        <f t="shared" si="1"/>
        <v>1782.252735217</v>
      </c>
      <c r="I29" s="4"/>
      <c r="J29" s="4">
        <f>J24-$D$15</f>
        <v>583.67193613399945</v>
      </c>
      <c r="K29" s="4">
        <f t="shared" ref="K29:L29" si="2">K24-$D$15</f>
        <v>912.63903613399953</v>
      </c>
      <c r="L29" s="4">
        <f t="shared" si="2"/>
        <v>1131.9504361339996</v>
      </c>
    </row>
    <row r="30" spans="1:12" x14ac:dyDescent="0.25">
      <c r="A30" t="s">
        <v>7</v>
      </c>
      <c r="B30" s="4">
        <f t="shared" ref="B30:D30" si="3">B25-$B$15</f>
        <v>1833.0212721806679</v>
      </c>
      <c r="C30" s="4">
        <f t="shared" si="3"/>
        <v>2476.9508727806683</v>
      </c>
      <c r="D30" s="4">
        <f t="shared" si="3"/>
        <v>2906.2372731806686</v>
      </c>
      <c r="E30" s="4"/>
      <c r="F30" s="4">
        <f>F25-$C$15</f>
        <v>1112.3290373169998</v>
      </c>
      <c r="G30" s="4">
        <f t="shared" ref="G30:H30" si="4">G25-$C$15</f>
        <v>1574.7542447169994</v>
      </c>
      <c r="H30" s="4">
        <f t="shared" si="4"/>
        <v>1883.0377163169996</v>
      </c>
      <c r="I30" s="4"/>
      <c r="J30" s="4">
        <f>J25-$D$15</f>
        <v>636.30667213399965</v>
      </c>
      <c r="K30" s="4">
        <f t="shared" ref="K30:L30" si="5">K25-$D$15</f>
        <v>978.43245613399949</v>
      </c>
      <c r="L30" s="4">
        <f t="shared" si="5"/>
        <v>1206.5163121339997</v>
      </c>
    </row>
    <row r="31" spans="1:12" x14ac:dyDescent="0.25">
      <c r="A31" t="s">
        <v>6</v>
      </c>
      <c r="B31" s="4">
        <f t="shared" ref="B31:D31" si="6">B26-$B$15</f>
        <v>1932.0873645806682</v>
      </c>
      <c r="C31" s="4">
        <f t="shared" si="6"/>
        <v>2600.7834882806683</v>
      </c>
      <c r="D31" s="4">
        <f t="shared" si="6"/>
        <v>3046.5809040806689</v>
      </c>
      <c r="E31" s="4"/>
      <c r="F31" s="4">
        <f>F26-$C$15</f>
        <v>1183.4713769169998</v>
      </c>
      <c r="G31" s="4">
        <f t="shared" ref="G31:H31" si="7">G26-$C$15</f>
        <v>1663.6821692169997</v>
      </c>
      <c r="H31" s="4">
        <f t="shared" si="7"/>
        <v>1983.8226974170002</v>
      </c>
      <c r="I31" s="4"/>
      <c r="J31" s="4">
        <f>J26-$D$15</f>
        <v>688.94140813399963</v>
      </c>
      <c r="K31" s="4">
        <f t="shared" ref="K31:L31" si="8">K26-$D$15</f>
        <v>1044.2258761339995</v>
      </c>
      <c r="L31" s="4">
        <f t="shared" si="8"/>
        <v>1281.0821881339996</v>
      </c>
    </row>
    <row r="33" spans="1:12" x14ac:dyDescent="0.25">
      <c r="A33" s="2" t="s">
        <v>43</v>
      </c>
    </row>
    <row r="34" spans="1:12" x14ac:dyDescent="0.25">
      <c r="A34" t="s">
        <v>58</v>
      </c>
      <c r="B34" s="7">
        <v>0.03</v>
      </c>
    </row>
    <row r="35" spans="1:12" x14ac:dyDescent="0.25">
      <c r="A35" t="s">
        <v>33</v>
      </c>
      <c r="B35" s="7">
        <v>0.03</v>
      </c>
    </row>
    <row r="36" spans="1:12" x14ac:dyDescent="0.25">
      <c r="A36" t="s">
        <v>31</v>
      </c>
      <c r="B36" s="10">
        <f>0.267*2500000*0.3</f>
        <v>200250</v>
      </c>
    </row>
    <row r="37" spans="1:12" x14ac:dyDescent="0.25">
      <c r="B37" s="10"/>
    </row>
    <row r="38" spans="1:12" x14ac:dyDescent="0.25">
      <c r="B38" s="13" t="s">
        <v>62</v>
      </c>
      <c r="C38" s="13"/>
      <c r="D38" s="13"/>
    </row>
    <row r="39" spans="1:12" x14ac:dyDescent="0.25">
      <c r="B39" t="s">
        <v>8</v>
      </c>
      <c r="C39" t="s">
        <v>7</v>
      </c>
      <c r="D39" t="s">
        <v>6</v>
      </c>
    </row>
    <row r="40" spans="1:12" x14ac:dyDescent="0.25">
      <c r="A40" t="s">
        <v>45</v>
      </c>
      <c r="B40" s="4">
        <f>($B$36*'Assumptions and Estimates'!$E$22*'Assumptions and Estimates'!J21)/1000000</f>
        <v>852.14502283098147</v>
      </c>
      <c r="C40" s="4">
        <f>($B$36*'Assumptions and Estimates'!$E$22*'Assumptions and Estimates'!J20)/1000000</f>
        <v>846.03491410335073</v>
      </c>
      <c r="D40" s="4">
        <f>($B$36*'Assumptions and Estimates'!$E$22*'Assumptions and Estimates'!J19)/1000000</f>
        <v>840.09692111452648</v>
      </c>
    </row>
    <row r="41" spans="1:12" x14ac:dyDescent="0.25">
      <c r="A41" t="s">
        <v>54</v>
      </c>
      <c r="B41" s="1"/>
    </row>
    <row r="42" spans="1:12" x14ac:dyDescent="0.25">
      <c r="A42" t="s">
        <v>55</v>
      </c>
      <c r="B42" s="4">
        <f>(($B$34*$B$36)*('Assumptions and Estimates'!$I$5-'Assumptions and Estimates'!$I$4)*'Assumptions and Estimates'!I21)/1000000</f>
        <v>626.85859500000004</v>
      </c>
      <c r="C42" s="4">
        <f>(($B$34*$B$36)*('Assumptions and Estimates'!$I$5-'Assumptions and Estimates'!$I$4)*'Assumptions and Estimates'!I20)/1000000</f>
        <v>450.16600499999998</v>
      </c>
      <c r="D42" s="4">
        <f>(($B$34*$B$36)*('Assumptions and Estimates'!$I$5-'Assumptions and Estimates'!$I$4)*'Assumptions and Estimates'!I19)/1000000</f>
        <v>333.05579999999998</v>
      </c>
    </row>
    <row r="43" spans="1:12" x14ac:dyDescent="0.25">
      <c r="A43" t="s">
        <v>56</v>
      </c>
      <c r="B43" s="4">
        <f>(($B$36*$B$35)*('Assumptions and Estimates'!$I$6-'Assumptions and Estimates'!$I$5)*'Assumptions and Estimates'!I21)/1000000</f>
        <v>1884.0583327500001</v>
      </c>
      <c r="C43" s="4">
        <f>(($B$36*$B$35)*('Assumptions and Estimates'!$I$6-'Assumptions and Estimates'!$I$5)*'Assumptions and Estimates'!I20)/1000000</f>
        <v>1352.9989372499999</v>
      </c>
      <c r="D43" s="4">
        <f>(($B$36*$B$35)*('Assumptions and Estimates'!$I$6-'Assumptions and Estimates'!$I$5)*'Assumptions and Estimates'!I19)/1000000</f>
        <v>1001.01771</v>
      </c>
    </row>
    <row r="44" spans="1:12" x14ac:dyDescent="0.25">
      <c r="A44" t="s">
        <v>57</v>
      </c>
      <c r="B44" s="4">
        <f>B42+B43</f>
        <v>2510.91692775</v>
      </c>
      <c r="C44" s="4">
        <f t="shared" ref="C44:D44" si="9">C42+C43</f>
        <v>1803.16494225</v>
      </c>
      <c r="D44" s="4">
        <f t="shared" si="9"/>
        <v>1334.0735099999999</v>
      </c>
    </row>
    <row r="45" spans="1:12" x14ac:dyDescent="0.25">
      <c r="A45" t="s">
        <v>50</v>
      </c>
    </row>
    <row r="46" spans="1:12" x14ac:dyDescent="0.25">
      <c r="B46" s="13" t="s">
        <v>71</v>
      </c>
      <c r="C46" s="13"/>
      <c r="D46" s="13"/>
      <c r="E46" s="12"/>
      <c r="F46" s="13" t="s">
        <v>69</v>
      </c>
      <c r="G46" s="13"/>
      <c r="H46" s="13"/>
      <c r="I46" s="12"/>
      <c r="J46" s="13" t="s">
        <v>70</v>
      </c>
      <c r="K46" s="13"/>
      <c r="L46" s="13"/>
    </row>
    <row r="47" spans="1:12" x14ac:dyDescent="0.25">
      <c r="A47" t="s">
        <v>52</v>
      </c>
      <c r="B47" s="13" t="s">
        <v>49</v>
      </c>
      <c r="C47" s="13"/>
      <c r="D47" s="13"/>
      <c r="E47" s="12"/>
      <c r="F47" s="13" t="s">
        <v>49</v>
      </c>
      <c r="G47" s="13"/>
      <c r="H47" s="13"/>
      <c r="I47" s="12"/>
      <c r="J47" s="13" t="s">
        <v>49</v>
      </c>
      <c r="K47" s="13"/>
      <c r="L47" s="13"/>
    </row>
    <row r="48" spans="1:12" x14ac:dyDescent="0.25">
      <c r="A48" t="s">
        <v>51</v>
      </c>
      <c r="B48" t="s">
        <v>8</v>
      </c>
      <c r="C48" t="s">
        <v>7</v>
      </c>
      <c r="D48" t="s">
        <v>6</v>
      </c>
      <c r="F48" t="s">
        <v>8</v>
      </c>
      <c r="G48" t="s">
        <v>7</v>
      </c>
      <c r="H48" t="s">
        <v>6</v>
      </c>
      <c r="J48" t="s">
        <v>8</v>
      </c>
      <c r="K48" t="s">
        <v>7</v>
      </c>
      <c r="L48" t="s">
        <v>6</v>
      </c>
    </row>
    <row r="49" spans="1:12" x14ac:dyDescent="0.25">
      <c r="A49" t="s">
        <v>8</v>
      </c>
      <c r="B49" s="4">
        <f>$B$44*'Assumptions and Estimates'!$I$11*'Assumptions and Estimates'!$I$16</f>
        <v>225.98252349749998</v>
      </c>
      <c r="C49" s="4">
        <f>$B$44*'Assumptions and Estimates'!$I$11*'Assumptions and Estimates'!$I$15</f>
        <v>282.47815437187495</v>
      </c>
      <c r="D49" s="4">
        <f>$B$44*'Assumptions and Estimates'!$I$11*'Assumptions and Estimates'!$I$14</f>
        <v>320.14190828812502</v>
      </c>
      <c r="E49" s="4"/>
      <c r="F49" s="4">
        <f>$C$44*'Assumptions and Estimates'!$I$11*'Assumptions and Estimates'!$I$16</f>
        <v>162.2848448025</v>
      </c>
      <c r="G49" s="4">
        <f>$C$44*'Assumptions and Estimates'!$I$11*'Assumptions and Estimates'!$I$15</f>
        <v>202.85605600312502</v>
      </c>
      <c r="H49" s="4">
        <f>$C$44*'Assumptions and Estimates'!$I$11*'Assumptions and Estimates'!$I$14</f>
        <v>229.90353013687502</v>
      </c>
      <c r="I49" s="4"/>
      <c r="J49" s="4">
        <f>$D$44*'Assumptions and Estimates'!$I$11*'Assumptions and Estimates'!$I$16</f>
        <v>120.06661589999999</v>
      </c>
      <c r="K49" s="4">
        <f>$D$44*'Assumptions and Estimates'!$I$11*'Assumptions and Estimates'!$I$15</f>
        <v>150.08326987499998</v>
      </c>
      <c r="L49" s="4">
        <f>$D$44*'Assumptions and Estimates'!$I$11*'Assumptions and Estimates'!$I$14</f>
        <v>170.09437252499998</v>
      </c>
    </row>
    <row r="50" spans="1:12" x14ac:dyDescent="0.25">
      <c r="A50" t="s">
        <v>7</v>
      </c>
      <c r="B50" s="4">
        <f>$B$44*'Assumptions and Estimates'!$I$10*'Assumptions and Estimates'!$I$16</f>
        <v>235.0218244374</v>
      </c>
      <c r="C50" s="4">
        <f>$B$44*'Assumptions and Estimates'!$I$10*'Assumptions and Estimates'!$I$15</f>
        <v>293.77728054675003</v>
      </c>
      <c r="D50" s="4">
        <f>$B$44*'Assumptions and Estimates'!$I$10*'Assumptions and Estimates'!$I$14</f>
        <v>332.94758461965006</v>
      </c>
      <c r="E50" s="4"/>
      <c r="F50" s="4">
        <f>$C$44*'Assumptions and Estimates'!$I$10*'Assumptions and Estimates'!$I$16</f>
        <v>168.77623859459999</v>
      </c>
      <c r="G50" s="4">
        <f>$C$44*'Assumptions and Estimates'!$I$10*'Assumptions and Estimates'!$I$15</f>
        <v>210.97029824324997</v>
      </c>
      <c r="H50" s="4">
        <f>$C$44*'Assumptions and Estimates'!$I$10*'Assumptions and Estimates'!$I$14</f>
        <v>239.09967134235001</v>
      </c>
      <c r="I50" s="4"/>
      <c r="J50" s="4">
        <f>$D$44*'Assumptions and Estimates'!$I$10*'Assumptions and Estimates'!$I$16</f>
        <v>124.86928053599998</v>
      </c>
      <c r="K50" s="4">
        <f>$D$44*'Assumptions and Estimates'!$I$10*'Assumptions and Estimates'!$I$15</f>
        <v>156.08660066999997</v>
      </c>
      <c r="L50" s="4">
        <f>$D$44*'Assumptions and Estimates'!$I$10*'Assumptions and Estimates'!$I$14</f>
        <v>176.89814742600001</v>
      </c>
    </row>
    <row r="51" spans="1:12" x14ac:dyDescent="0.25">
      <c r="A51" t="s">
        <v>6</v>
      </c>
      <c r="B51" s="4">
        <f>$B$44*'Assumptions and Estimates'!$I$9*'Assumptions and Estimates'!$I$16</f>
        <v>244.06112537730002</v>
      </c>
      <c r="C51" s="4">
        <f>$B$44*'Assumptions and Estimates'!$I$9*'Assumptions and Estimates'!$I$15</f>
        <v>305.07640672162501</v>
      </c>
      <c r="D51" s="4">
        <f>$B$44*'Assumptions and Estimates'!$I$9*'Assumptions and Estimates'!$I$14</f>
        <v>345.75326095117504</v>
      </c>
      <c r="E51" s="4"/>
      <c r="F51" s="4">
        <f>$C$44*'Assumptions and Estimates'!$I$9*'Assumptions and Estimates'!$I$16</f>
        <v>175.2676323867</v>
      </c>
      <c r="G51" s="4">
        <f>$C$44*'Assumptions and Estimates'!$I$9*'Assumptions and Estimates'!$I$15</f>
        <v>219.08454048337498</v>
      </c>
      <c r="H51" s="4">
        <f>$C$44*'Assumptions and Estimates'!$I$9*'Assumptions and Estimates'!$I$14</f>
        <v>248.29581254782502</v>
      </c>
      <c r="I51" s="4"/>
      <c r="J51" s="4">
        <f>$D$44*'Assumptions and Estimates'!$I$9*'Assumptions and Estimates'!$I$16</f>
        <v>129.67194517200002</v>
      </c>
      <c r="K51" s="4">
        <f>$D$44*'Assumptions and Estimates'!$I$9*'Assumptions and Estimates'!$I$15</f>
        <v>162.08993146500001</v>
      </c>
      <c r="L51" s="4">
        <f>$D$44*'Assumptions and Estimates'!$I$9*'Assumptions and Estimates'!$I$14</f>
        <v>183.70192232700003</v>
      </c>
    </row>
    <row r="52" spans="1:12" x14ac:dyDescent="0.25">
      <c r="A52" t="s">
        <v>59</v>
      </c>
      <c r="B52" s="13" t="s">
        <v>49</v>
      </c>
      <c r="C52" s="13"/>
      <c r="D52" s="13"/>
      <c r="E52" s="12"/>
      <c r="F52" s="13" t="s">
        <v>49</v>
      </c>
      <c r="G52" s="13"/>
      <c r="H52" s="13"/>
      <c r="I52" s="12"/>
      <c r="J52" s="13" t="s">
        <v>49</v>
      </c>
      <c r="K52" s="13"/>
      <c r="L52" s="13"/>
    </row>
    <row r="53" spans="1:12" x14ac:dyDescent="0.25">
      <c r="A53" t="s">
        <v>51</v>
      </c>
      <c r="B53" t="s">
        <v>8</v>
      </c>
      <c r="C53" t="s">
        <v>7</v>
      </c>
      <c r="D53" t="s">
        <v>6</v>
      </c>
      <c r="F53" t="s">
        <v>8</v>
      </c>
      <c r="G53" t="s">
        <v>7</v>
      </c>
      <c r="H53" t="s">
        <v>6</v>
      </c>
      <c r="J53" t="s">
        <v>8</v>
      </c>
      <c r="K53" t="s">
        <v>7</v>
      </c>
      <c r="L53" t="s">
        <v>6</v>
      </c>
    </row>
    <row r="54" spans="1:12" x14ac:dyDescent="0.25">
      <c r="A54" t="s">
        <v>8</v>
      </c>
      <c r="B54" s="4">
        <f>B49-$B$40</f>
        <v>-626.16249933348149</v>
      </c>
      <c r="C54" s="4">
        <f t="shared" ref="C54:D54" si="10">C49-$B$40</f>
        <v>-569.66686845910658</v>
      </c>
      <c r="D54" s="4">
        <f t="shared" si="10"/>
        <v>-532.00311454285645</v>
      </c>
      <c r="E54" s="4"/>
      <c r="F54" s="4">
        <f>F49-$C$40</f>
        <v>-683.75006930085078</v>
      </c>
      <c r="G54" s="4">
        <f t="shared" ref="G54:H54" si="11">G49-$C$40</f>
        <v>-643.17885810022574</v>
      </c>
      <c r="H54" s="4">
        <f t="shared" si="11"/>
        <v>-616.13138396647571</v>
      </c>
      <c r="I54" s="4"/>
      <c r="J54" s="4">
        <f>J49-$D$40</f>
        <v>-720.03030521452649</v>
      </c>
      <c r="K54" s="4">
        <f t="shared" ref="K54:L54" si="12">K49-$D$40</f>
        <v>-690.01365123952655</v>
      </c>
      <c r="L54" s="4">
        <f t="shared" si="12"/>
        <v>-670.00254858952644</v>
      </c>
    </row>
    <row r="55" spans="1:12" x14ac:dyDescent="0.25">
      <c r="A55" t="s">
        <v>7</v>
      </c>
      <c r="B55" s="4">
        <f t="shared" ref="B55:D56" si="13">B50-$B$40</f>
        <v>-617.12319839358145</v>
      </c>
      <c r="C55" s="4">
        <f t="shared" si="13"/>
        <v>-558.36774228423144</v>
      </c>
      <c r="D55" s="4">
        <f t="shared" si="13"/>
        <v>-519.19743821133147</v>
      </c>
      <c r="E55" s="4"/>
      <c r="F55" s="4">
        <f t="shared" ref="F55:H56" si="14">F50-$C$40</f>
        <v>-677.25867550875068</v>
      </c>
      <c r="G55" s="4">
        <f t="shared" si="14"/>
        <v>-635.06461586010073</v>
      </c>
      <c r="H55" s="4">
        <f t="shared" si="14"/>
        <v>-606.93524276100072</v>
      </c>
      <c r="I55" s="4"/>
      <c r="J55" s="4">
        <f t="shared" ref="J55:L56" si="15">J50-$D$40</f>
        <v>-715.22764057852646</v>
      </c>
      <c r="K55" s="4">
        <f t="shared" si="15"/>
        <v>-684.01032044452654</v>
      </c>
      <c r="L55" s="4">
        <f t="shared" si="15"/>
        <v>-663.19877368852644</v>
      </c>
    </row>
    <row r="56" spans="1:12" x14ac:dyDescent="0.25">
      <c r="A56" t="s">
        <v>6</v>
      </c>
      <c r="B56" s="4">
        <f t="shared" si="13"/>
        <v>-608.0838974536814</v>
      </c>
      <c r="C56" s="4">
        <f t="shared" si="13"/>
        <v>-547.06861610935653</v>
      </c>
      <c r="D56" s="4">
        <f t="shared" si="13"/>
        <v>-506.39176187980644</v>
      </c>
      <c r="E56" s="4"/>
      <c r="F56" s="4">
        <f t="shared" si="14"/>
        <v>-670.7672817166507</v>
      </c>
      <c r="G56" s="4">
        <f t="shared" si="14"/>
        <v>-626.95037361997572</v>
      </c>
      <c r="H56" s="4">
        <f t="shared" si="14"/>
        <v>-597.73910155552574</v>
      </c>
      <c r="I56" s="4"/>
      <c r="J56" s="4">
        <f t="shared" si="15"/>
        <v>-710.42497594252643</v>
      </c>
      <c r="K56" s="4">
        <f t="shared" si="15"/>
        <v>-678.00698964952653</v>
      </c>
      <c r="L56" s="4">
        <f t="shared" si="15"/>
        <v>-656.39499878752645</v>
      </c>
    </row>
    <row r="57" spans="1:12" x14ac:dyDescent="0.25">
      <c r="B57" s="4"/>
      <c r="C57" s="4"/>
      <c r="D57" s="4"/>
      <c r="E57" s="4"/>
    </row>
    <row r="58" spans="1:12" x14ac:dyDescent="0.25">
      <c r="A58" s="2" t="s">
        <v>72</v>
      </c>
      <c r="B58" s="4"/>
      <c r="C58" s="4"/>
      <c r="D58" s="4"/>
      <c r="E58" s="4"/>
    </row>
    <row r="59" spans="1:12" x14ac:dyDescent="0.25">
      <c r="B59" s="13" t="s">
        <v>62</v>
      </c>
      <c r="C59" s="13"/>
      <c r="D59" s="13"/>
      <c r="E59" s="4"/>
    </row>
    <row r="60" spans="1:12" x14ac:dyDescent="0.25">
      <c r="B60" t="s">
        <v>8</v>
      </c>
      <c r="C60" t="s">
        <v>7</v>
      </c>
      <c r="D60" t="s">
        <v>6</v>
      </c>
      <c r="E60" s="4"/>
    </row>
    <row r="61" spans="1:12" x14ac:dyDescent="0.25">
      <c r="A61" s="2" t="s">
        <v>73</v>
      </c>
      <c r="B61" s="4">
        <f>B40+B15</f>
        <v>1594.8421530503147</v>
      </c>
      <c r="C61" s="4">
        <f t="shared" ref="C61:D61" si="16">C40+C15</f>
        <v>1583.4067063863508</v>
      </c>
      <c r="D61" s="4">
        <f t="shared" si="16"/>
        <v>1572.2933849805263</v>
      </c>
      <c r="E61" s="4"/>
    </row>
    <row r="62" spans="1:12" x14ac:dyDescent="0.25">
      <c r="B62" s="4"/>
      <c r="C62" s="4"/>
      <c r="D62" s="4"/>
      <c r="E62" s="4"/>
    </row>
    <row r="63" spans="1:12" x14ac:dyDescent="0.25">
      <c r="B63" s="13" t="s">
        <v>71</v>
      </c>
      <c r="C63" s="13"/>
      <c r="D63" s="13"/>
      <c r="E63" s="12"/>
      <c r="F63" s="13" t="s">
        <v>69</v>
      </c>
      <c r="G63" s="13"/>
      <c r="H63" s="13"/>
      <c r="I63" s="12"/>
      <c r="J63" s="13" t="s">
        <v>70</v>
      </c>
      <c r="K63" s="13"/>
      <c r="L63" s="13"/>
    </row>
    <row r="64" spans="1:12" x14ac:dyDescent="0.25">
      <c r="A64" s="2" t="s">
        <v>53</v>
      </c>
      <c r="B64" s="13" t="s">
        <v>49</v>
      </c>
      <c r="C64" s="13"/>
      <c r="D64" s="13"/>
      <c r="E64" s="12"/>
      <c r="F64" s="13" t="s">
        <v>49</v>
      </c>
      <c r="G64" s="13"/>
      <c r="H64" s="13"/>
      <c r="I64" s="12"/>
      <c r="J64" s="13" t="s">
        <v>49</v>
      </c>
      <c r="K64" s="13"/>
      <c r="L64" s="13"/>
    </row>
    <row r="65" spans="1:12" x14ac:dyDescent="0.25">
      <c r="A65" t="s">
        <v>51</v>
      </c>
      <c r="B65" t="s">
        <v>8</v>
      </c>
      <c r="C65" t="s">
        <v>7</v>
      </c>
      <c r="D65" t="s">
        <v>6</v>
      </c>
      <c r="F65" t="s">
        <v>8</v>
      </c>
      <c r="G65" t="s">
        <v>7</v>
      </c>
      <c r="H65" t="s">
        <v>6</v>
      </c>
      <c r="J65" t="s">
        <v>8</v>
      </c>
      <c r="K65" t="s">
        <v>7</v>
      </c>
      <c r="L65" t="s">
        <v>6</v>
      </c>
    </row>
    <row r="66" spans="1:12" x14ac:dyDescent="0.25">
      <c r="A66" t="s">
        <v>8</v>
      </c>
      <c r="B66" s="4">
        <f>B24+B49</f>
        <v>2702.6348334975009</v>
      </c>
      <c r="C66" s="4">
        <f t="shared" ref="C66:D66" si="17">C24+C49</f>
        <v>3378.2935418718762</v>
      </c>
      <c r="D66" s="4">
        <f t="shared" si="17"/>
        <v>3828.7326807881263</v>
      </c>
      <c r="E66" s="4"/>
      <c r="F66" s="4">
        <f>F24+F49</f>
        <v>1940.8433348024998</v>
      </c>
      <c r="G66" s="4">
        <f t="shared" ref="G66:H66" si="18">G24+G49</f>
        <v>2426.0541685031249</v>
      </c>
      <c r="H66" s="4">
        <f t="shared" si="18"/>
        <v>2749.528057636875</v>
      </c>
      <c r="I66" s="4"/>
      <c r="J66" s="4">
        <f>J24+J49</f>
        <v>1435.9350158999994</v>
      </c>
      <c r="K66" s="4">
        <f t="shared" ref="K66:L66" si="19">K24+K49</f>
        <v>1794.9187698749995</v>
      </c>
      <c r="L66" s="4">
        <f t="shared" si="19"/>
        <v>2034.2412725249994</v>
      </c>
    </row>
    <row r="67" spans="1:12" x14ac:dyDescent="0.25">
      <c r="A67" t="s">
        <v>7</v>
      </c>
      <c r="B67" s="4">
        <f t="shared" ref="B67:D68" si="20">B25+B50</f>
        <v>2810.7402268374012</v>
      </c>
      <c r="C67" s="4">
        <f t="shared" si="20"/>
        <v>3513.4252835467514</v>
      </c>
      <c r="D67" s="4">
        <f t="shared" si="20"/>
        <v>3981.881988019652</v>
      </c>
      <c r="E67" s="4"/>
      <c r="F67" s="4">
        <f t="shared" ref="F67:H67" si="21">F25+F50</f>
        <v>2018.4770681945997</v>
      </c>
      <c r="G67" s="4">
        <f t="shared" si="21"/>
        <v>2523.0963352432495</v>
      </c>
      <c r="H67" s="4">
        <f t="shared" si="21"/>
        <v>2859.5091799423499</v>
      </c>
      <c r="I67" s="4"/>
      <c r="J67" s="4">
        <f t="shared" ref="J67:L67" si="22">J25+J50</f>
        <v>1493.3724165359995</v>
      </c>
      <c r="K67" s="4">
        <f t="shared" si="22"/>
        <v>1866.7155206699995</v>
      </c>
      <c r="L67" s="4">
        <f t="shared" si="22"/>
        <v>2115.6109234259998</v>
      </c>
    </row>
    <row r="68" spans="1:12" x14ac:dyDescent="0.25">
      <c r="A68" t="s">
        <v>6</v>
      </c>
      <c r="B68" s="4">
        <f t="shared" si="20"/>
        <v>2918.8456201773015</v>
      </c>
      <c r="C68" s="4">
        <f t="shared" si="20"/>
        <v>3648.5570252216266</v>
      </c>
      <c r="D68" s="4">
        <f t="shared" si="20"/>
        <v>4135.0312952511777</v>
      </c>
      <c r="E68" s="4"/>
      <c r="F68" s="4">
        <f t="shared" ref="F68:H68" si="23">F26+F51</f>
        <v>2096.1108015866998</v>
      </c>
      <c r="G68" s="4">
        <f t="shared" si="23"/>
        <v>2620.1385019833747</v>
      </c>
      <c r="H68" s="4">
        <f t="shared" si="23"/>
        <v>2969.4903022478252</v>
      </c>
      <c r="I68" s="4"/>
      <c r="J68" s="4">
        <f t="shared" ref="J68:L68" si="24">J26+J51</f>
        <v>1550.8098171719996</v>
      </c>
      <c r="K68" s="4">
        <f t="shared" si="24"/>
        <v>1938.5122714649995</v>
      </c>
      <c r="L68" s="4">
        <f t="shared" si="24"/>
        <v>2196.9805743269994</v>
      </c>
    </row>
    <row r="69" spans="1:12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2" t="s">
        <v>59</v>
      </c>
      <c r="B70" s="13" t="s">
        <v>49</v>
      </c>
      <c r="C70" s="13"/>
      <c r="D70" s="13"/>
      <c r="E70" s="12"/>
      <c r="F70" s="13" t="s">
        <v>49</v>
      </c>
      <c r="G70" s="13"/>
      <c r="H70" s="13"/>
      <c r="I70" s="12"/>
      <c r="J70" s="13" t="s">
        <v>49</v>
      </c>
      <c r="K70" s="13"/>
      <c r="L70" s="13"/>
    </row>
    <row r="71" spans="1:12" x14ac:dyDescent="0.25">
      <c r="A71" t="s">
        <v>51</v>
      </c>
      <c r="B71" t="s">
        <v>8</v>
      </c>
      <c r="C71" t="s">
        <v>7</v>
      </c>
      <c r="D71" t="s">
        <v>6</v>
      </c>
      <c r="F71" t="s">
        <v>8</v>
      </c>
      <c r="G71" t="s">
        <v>7</v>
      </c>
      <c r="H71" t="s">
        <v>6</v>
      </c>
      <c r="J71" t="s">
        <v>8</v>
      </c>
      <c r="K71" t="s">
        <v>7</v>
      </c>
      <c r="L71" t="s">
        <v>6</v>
      </c>
    </row>
    <row r="72" spans="1:12" x14ac:dyDescent="0.25">
      <c r="A72" t="s">
        <v>8</v>
      </c>
      <c r="B72" s="4">
        <f>B29+B54</f>
        <v>1107.7926804471861</v>
      </c>
      <c r="C72" s="4">
        <f t="shared" ref="C72:D72" si="25">C29+C54</f>
        <v>1783.4513888215613</v>
      </c>
      <c r="D72" s="4">
        <f t="shared" si="25"/>
        <v>2233.8905277378117</v>
      </c>
      <c r="E72" s="4"/>
      <c r="F72" s="4">
        <f>F29+F54</f>
        <v>357.43662841614901</v>
      </c>
      <c r="G72" s="4">
        <f t="shared" ref="G72:H72" si="26">G29+G54</f>
        <v>842.64746211677391</v>
      </c>
      <c r="H72" s="4">
        <f t="shared" si="26"/>
        <v>1166.1213512505242</v>
      </c>
      <c r="I72" s="4"/>
      <c r="J72" s="4">
        <f>J29+J54</f>
        <v>-136.35836908052704</v>
      </c>
      <c r="K72" s="4">
        <f t="shared" ref="K72:L72" si="27">K29+K54</f>
        <v>222.62538489447297</v>
      </c>
      <c r="L72" s="4">
        <f t="shared" si="27"/>
        <v>461.94788754447313</v>
      </c>
    </row>
    <row r="73" spans="1:12" x14ac:dyDescent="0.25">
      <c r="A73" t="s">
        <v>7</v>
      </c>
      <c r="B73" s="4">
        <f t="shared" ref="B73:D73" si="28">B30+B55</f>
        <v>1215.8980737870866</v>
      </c>
      <c r="C73" s="4">
        <f t="shared" si="28"/>
        <v>1918.5831304964368</v>
      </c>
      <c r="D73" s="4">
        <f t="shared" si="28"/>
        <v>2387.0398349693369</v>
      </c>
      <c r="E73" s="4"/>
      <c r="F73" s="4">
        <f t="shared" ref="F73:H73" si="29">F30+F55</f>
        <v>435.07036180824912</v>
      </c>
      <c r="G73" s="4">
        <f t="shared" si="29"/>
        <v>939.68962885689871</v>
      </c>
      <c r="H73" s="4">
        <f t="shared" si="29"/>
        <v>1276.102473555999</v>
      </c>
      <c r="I73" s="4"/>
      <c r="J73" s="4">
        <f t="shared" ref="J73:L73" si="30">J30+J55</f>
        <v>-78.920968444526807</v>
      </c>
      <c r="K73" s="4">
        <f t="shared" si="30"/>
        <v>294.42213568947295</v>
      </c>
      <c r="L73" s="4">
        <f t="shared" si="30"/>
        <v>543.31753844547325</v>
      </c>
    </row>
    <row r="74" spans="1:12" x14ac:dyDescent="0.25">
      <c r="A74" t="s">
        <v>6</v>
      </c>
      <c r="B74" s="4">
        <f t="shared" ref="B74:D74" si="31">B31+B56</f>
        <v>1324.0034671269868</v>
      </c>
      <c r="C74" s="4">
        <f t="shared" si="31"/>
        <v>2053.714872171312</v>
      </c>
      <c r="D74" s="4">
        <f t="shared" si="31"/>
        <v>2540.1891422008625</v>
      </c>
      <c r="E74" s="4"/>
      <c r="F74" s="4">
        <f t="shared" ref="F74:H74" si="32">F31+F56</f>
        <v>512.70409520034912</v>
      </c>
      <c r="G74" s="4">
        <f t="shared" si="32"/>
        <v>1036.7317955970238</v>
      </c>
      <c r="H74" s="4">
        <f t="shared" si="32"/>
        <v>1386.0835958614744</v>
      </c>
      <c r="I74" s="4"/>
      <c r="J74" s="4">
        <f t="shared" ref="J74:L74" si="33">J31+J56</f>
        <v>-21.4835678085268</v>
      </c>
      <c r="K74" s="4">
        <f t="shared" si="33"/>
        <v>366.21888648447293</v>
      </c>
      <c r="L74" s="4">
        <f t="shared" si="33"/>
        <v>624.68718934647313</v>
      </c>
    </row>
    <row r="75" spans="1:12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2" t="s">
        <v>74</v>
      </c>
      <c r="B76" s="13" t="s">
        <v>49</v>
      </c>
      <c r="C76" s="13"/>
      <c r="D76" s="13"/>
      <c r="E76" s="12"/>
      <c r="F76" s="13" t="s">
        <v>49</v>
      </c>
      <c r="G76" s="13"/>
      <c r="H76" s="13"/>
      <c r="I76" s="12"/>
      <c r="J76" s="13" t="s">
        <v>49</v>
      </c>
      <c r="K76" s="13"/>
      <c r="L76" s="13"/>
    </row>
    <row r="77" spans="1:12" x14ac:dyDescent="0.25">
      <c r="A77" t="s">
        <v>51</v>
      </c>
      <c r="B77" t="s">
        <v>8</v>
      </c>
      <c r="C77" t="s">
        <v>7</v>
      </c>
      <c r="D77" t="s">
        <v>6</v>
      </c>
      <c r="F77" t="s">
        <v>8</v>
      </c>
      <c r="G77" t="s">
        <v>7</v>
      </c>
      <c r="H77" t="s">
        <v>6</v>
      </c>
      <c r="J77" t="s">
        <v>8</v>
      </c>
      <c r="K77" t="s">
        <v>7</v>
      </c>
      <c r="L77" t="s">
        <v>6</v>
      </c>
    </row>
    <row r="78" spans="1:12" x14ac:dyDescent="0.25">
      <c r="A78" t="s">
        <v>8</v>
      </c>
      <c r="B78" s="4">
        <f>B66/$B$61</f>
        <v>1.6946096065547356</v>
      </c>
      <c r="C78" s="4">
        <f t="shared" ref="C78:D78" si="34">C66/$B$61</f>
        <v>2.1182620081934194</v>
      </c>
      <c r="D78" s="4">
        <f t="shared" si="34"/>
        <v>2.4006969426192084</v>
      </c>
      <c r="F78" s="4">
        <f>F66/$C$61</f>
        <v>1.225738988583603</v>
      </c>
      <c r="G78" s="4">
        <f t="shared" ref="G78:H78" si="35">G66/$C$61</f>
        <v>1.532173735729504</v>
      </c>
      <c r="H78" s="4">
        <f t="shared" si="35"/>
        <v>1.7364635671601045</v>
      </c>
      <c r="I78" s="4"/>
      <c r="J78" s="4">
        <f>J66/$D$61</f>
        <v>0.91327422071281195</v>
      </c>
      <c r="K78" s="4">
        <f t="shared" ref="K78:L78" si="36">K66/$D$61</f>
        <v>1.1415927758910152</v>
      </c>
      <c r="L78" s="4">
        <f t="shared" si="36"/>
        <v>1.2938051460098172</v>
      </c>
    </row>
    <row r="79" spans="1:12" x14ac:dyDescent="0.25">
      <c r="A79" t="s">
        <v>7</v>
      </c>
      <c r="B79" s="4">
        <f t="shared" ref="B79:D80" si="37">B67/$B$61</f>
        <v>1.762393990816925</v>
      </c>
      <c r="C79" s="4">
        <f t="shared" si="37"/>
        <v>2.202992488521156</v>
      </c>
      <c r="D79" s="4">
        <f t="shared" si="37"/>
        <v>2.4967248203239771</v>
      </c>
      <c r="F79" s="4">
        <f t="shared" ref="F79:H80" si="38">F67/$C$61</f>
        <v>1.2747685481269471</v>
      </c>
      <c r="G79" s="4">
        <f t="shared" si="38"/>
        <v>1.5934606851586839</v>
      </c>
      <c r="H79" s="4">
        <f t="shared" si="38"/>
        <v>1.8059221098465086</v>
      </c>
      <c r="I79" s="4"/>
      <c r="J79" s="4">
        <f t="shared" ref="J79:L80" si="39">J67/$D$61</f>
        <v>0.94980518954132453</v>
      </c>
      <c r="K79" s="4">
        <f t="shared" si="39"/>
        <v>1.1872564869266558</v>
      </c>
      <c r="L79" s="4">
        <f t="shared" si="39"/>
        <v>1.34555735185021</v>
      </c>
    </row>
    <row r="80" spans="1:12" x14ac:dyDescent="0.25">
      <c r="A80" t="s">
        <v>6</v>
      </c>
      <c r="B80" s="4">
        <f t="shared" si="37"/>
        <v>1.8301783750791145</v>
      </c>
      <c r="C80" s="4">
        <f t="shared" si="37"/>
        <v>2.2877229688488931</v>
      </c>
      <c r="D80" s="4">
        <f t="shared" si="37"/>
        <v>2.5927526980287459</v>
      </c>
      <c r="F80" s="4">
        <f t="shared" si="38"/>
        <v>1.3237981076702914</v>
      </c>
      <c r="G80" s="4">
        <f t="shared" si="38"/>
        <v>1.654747634587864</v>
      </c>
      <c r="H80" s="4">
        <f t="shared" si="38"/>
        <v>1.8753806525329131</v>
      </c>
      <c r="I80" s="4"/>
      <c r="J80" s="4">
        <f t="shared" si="39"/>
        <v>0.98633615836983712</v>
      </c>
      <c r="K80" s="4">
        <f t="shared" si="39"/>
        <v>1.2329201979622963</v>
      </c>
      <c r="L80" s="4">
        <f t="shared" si="39"/>
        <v>1.3973095576906025</v>
      </c>
    </row>
  </sheetData>
  <mergeCells count="33">
    <mergeCell ref="B70:D70"/>
    <mergeCell ref="F70:H70"/>
    <mergeCell ref="J70:L70"/>
    <mergeCell ref="B76:D76"/>
    <mergeCell ref="F76:H76"/>
    <mergeCell ref="J76:L76"/>
    <mergeCell ref="B63:D63"/>
    <mergeCell ref="F63:H63"/>
    <mergeCell ref="J63:L63"/>
    <mergeCell ref="B64:D64"/>
    <mergeCell ref="F64:H64"/>
    <mergeCell ref="J64:L64"/>
    <mergeCell ref="F47:H47"/>
    <mergeCell ref="J47:L47"/>
    <mergeCell ref="F52:H52"/>
    <mergeCell ref="J52:L52"/>
    <mergeCell ref="B59:D59"/>
    <mergeCell ref="J27:L27"/>
    <mergeCell ref="B38:D38"/>
    <mergeCell ref="B46:D46"/>
    <mergeCell ref="F46:H46"/>
    <mergeCell ref="J46:L46"/>
    <mergeCell ref="B13:D13"/>
    <mergeCell ref="B21:D21"/>
    <mergeCell ref="F21:H21"/>
    <mergeCell ref="F22:H22"/>
    <mergeCell ref="F27:H27"/>
    <mergeCell ref="B27:D27"/>
    <mergeCell ref="B22:D22"/>
    <mergeCell ref="B47:D47"/>
    <mergeCell ref="B52:D52"/>
    <mergeCell ref="J21:L21"/>
    <mergeCell ref="J22:L2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24" sqref="H24"/>
    </sheetView>
  </sheetViews>
  <sheetFormatPr defaultRowHeight="15" x14ac:dyDescent="0.25"/>
  <cols>
    <col min="1" max="1" width="22.85546875" customWidth="1"/>
    <col min="2" max="2" width="13.42578125" bestFit="1" customWidth="1"/>
    <col min="3" max="3" width="12.140625" customWidth="1"/>
    <col min="4" max="4" width="15.7109375" bestFit="1" customWidth="1"/>
    <col min="5" max="5" width="15" bestFit="1" customWidth="1"/>
    <col min="6" max="6" width="20.140625" customWidth="1"/>
    <col min="7" max="7" width="13.42578125" bestFit="1" customWidth="1"/>
    <col min="8" max="8" width="14.42578125" customWidth="1"/>
    <col min="9" max="9" width="13.28515625" bestFit="1" customWidth="1"/>
    <col min="10" max="10" width="13.28515625" customWidth="1"/>
    <col min="11" max="11" width="14.5703125" bestFit="1" customWidth="1"/>
    <col min="12" max="12" width="14.28515625" customWidth="1"/>
  </cols>
  <sheetData>
    <row r="1" spans="1:11" x14ac:dyDescent="0.25">
      <c r="A1" s="2" t="s">
        <v>10</v>
      </c>
      <c r="H1" t="s">
        <v>61</v>
      </c>
    </row>
    <row r="2" spans="1:11" x14ac:dyDescent="0.25">
      <c r="A2" s="3" t="s">
        <v>11</v>
      </c>
      <c r="H2" t="s">
        <v>0</v>
      </c>
      <c r="I2">
        <v>969000</v>
      </c>
      <c r="K2" t="s">
        <v>20</v>
      </c>
    </row>
    <row r="3" spans="1:11" x14ac:dyDescent="0.25">
      <c r="A3" t="s">
        <v>12</v>
      </c>
      <c r="B3" t="s">
        <v>13</v>
      </c>
      <c r="C3" t="s">
        <v>14</v>
      </c>
      <c r="D3" t="s">
        <v>15</v>
      </c>
      <c r="E3" t="s">
        <v>18</v>
      </c>
      <c r="H3" t="s">
        <v>1</v>
      </c>
      <c r="I3">
        <v>1304000</v>
      </c>
      <c r="K3" t="s">
        <v>21</v>
      </c>
    </row>
    <row r="4" spans="1:11" x14ac:dyDescent="0.25">
      <c r="A4" t="s">
        <v>16</v>
      </c>
      <c r="B4" s="1">
        <v>0.61</v>
      </c>
      <c r="C4">
        <v>2.5</v>
      </c>
      <c r="D4" s="4">
        <f>3157.5*(5550/4050)</f>
        <v>4326.9444444444443</v>
      </c>
      <c r="E4" s="4">
        <f>C4*D4</f>
        <v>10817.361111111111</v>
      </c>
      <c r="H4" t="s">
        <v>2</v>
      </c>
      <c r="I4">
        <v>1547000</v>
      </c>
    </row>
    <row r="5" spans="1:11" x14ac:dyDescent="0.25">
      <c r="A5" t="s">
        <v>17</v>
      </c>
      <c r="B5" s="1">
        <v>0.39</v>
      </c>
      <c r="C5">
        <v>1.6</v>
      </c>
      <c r="D5" s="4">
        <f>1054.7*(5550/4050)</f>
        <v>1445.3296296296298</v>
      </c>
      <c r="E5" s="4">
        <f>C5*D5</f>
        <v>2312.5274074074077</v>
      </c>
      <c r="H5" t="s">
        <v>3</v>
      </c>
      <c r="I5">
        <v>1727000</v>
      </c>
    </row>
    <row r="6" spans="1:11" x14ac:dyDescent="0.25">
      <c r="A6" s="2" t="s">
        <v>19</v>
      </c>
      <c r="E6" s="9">
        <f>(E4*B4)+(E5*B5)</f>
        <v>7500.4759666666669</v>
      </c>
      <c r="H6" t="s">
        <v>4</v>
      </c>
      <c r="I6">
        <v>2268000</v>
      </c>
    </row>
    <row r="8" spans="1:11" x14ac:dyDescent="0.25">
      <c r="H8" t="s">
        <v>5</v>
      </c>
    </row>
    <row r="9" spans="1:11" x14ac:dyDescent="0.25">
      <c r="A9" s="2" t="s">
        <v>27</v>
      </c>
      <c r="H9" t="s">
        <v>6</v>
      </c>
      <c r="I9" s="1">
        <v>0.81</v>
      </c>
      <c r="J9" s="1"/>
      <c r="K9" t="s">
        <v>22</v>
      </c>
    </row>
    <row r="10" spans="1:11" x14ac:dyDescent="0.25">
      <c r="A10" s="3" t="s">
        <v>11</v>
      </c>
      <c r="H10" t="s">
        <v>7</v>
      </c>
      <c r="I10" s="1">
        <v>0.78</v>
      </c>
      <c r="J10" s="1"/>
      <c r="K10" t="s">
        <v>23</v>
      </c>
    </row>
    <row r="11" spans="1:11" x14ac:dyDescent="0.25">
      <c r="A11" s="3" t="s">
        <v>28</v>
      </c>
      <c r="H11" t="s">
        <v>8</v>
      </c>
      <c r="I11" s="1">
        <v>0.75</v>
      </c>
      <c r="J11" s="1"/>
    </row>
    <row r="12" spans="1:11" x14ac:dyDescent="0.25">
      <c r="A12" t="s">
        <v>12</v>
      </c>
      <c r="B12" t="s">
        <v>13</v>
      </c>
      <c r="C12" t="s">
        <v>14</v>
      </c>
      <c r="D12" t="s">
        <v>15</v>
      </c>
      <c r="E12" t="s">
        <v>18</v>
      </c>
      <c r="H12" s="8"/>
    </row>
    <row r="13" spans="1:11" x14ac:dyDescent="0.25">
      <c r="A13" t="s">
        <v>16</v>
      </c>
      <c r="B13" s="7">
        <v>0.57099999999999995</v>
      </c>
      <c r="C13">
        <v>2.5</v>
      </c>
      <c r="D13" s="4">
        <f>3157.5*(5550/4050)</f>
        <v>4326.9444444444443</v>
      </c>
      <c r="E13" s="4">
        <f>C13*D13</f>
        <v>10817.361111111111</v>
      </c>
      <c r="H13" t="s">
        <v>9</v>
      </c>
    </row>
    <row r="14" spans="1:11" x14ac:dyDescent="0.25">
      <c r="A14" t="s">
        <v>17</v>
      </c>
      <c r="B14" s="7">
        <v>0.42899999999999999</v>
      </c>
      <c r="C14">
        <v>1.6</v>
      </c>
      <c r="D14" s="4">
        <f>1054.7*(5550/4050)</f>
        <v>1445.3296296296298</v>
      </c>
      <c r="E14" s="4">
        <f>C14*D14</f>
        <v>2312.5274074074077</v>
      </c>
      <c r="H14" t="s">
        <v>6</v>
      </c>
      <c r="I14" s="1">
        <v>0.17</v>
      </c>
      <c r="J14" s="1"/>
      <c r="K14" t="s">
        <v>25</v>
      </c>
    </row>
    <row r="15" spans="1:11" x14ac:dyDescent="0.25">
      <c r="A15" s="5" t="s">
        <v>19</v>
      </c>
      <c r="E15" s="4">
        <f>(E13*B13)+(E14*B14)</f>
        <v>7168.7874522222219</v>
      </c>
      <c r="F15" t="s">
        <v>60</v>
      </c>
      <c r="H15" t="s">
        <v>7</v>
      </c>
      <c r="I15" s="1">
        <v>0.15</v>
      </c>
      <c r="J15" s="1"/>
      <c r="K15" t="s">
        <v>26</v>
      </c>
    </row>
    <row r="16" spans="1:11" x14ac:dyDescent="0.25">
      <c r="A16" s="3" t="s">
        <v>29</v>
      </c>
      <c r="E16" s="4"/>
      <c r="F16" s="6">
        <v>0.26700000000000002</v>
      </c>
      <c r="H16" t="s">
        <v>8</v>
      </c>
      <c r="I16" s="1">
        <v>0.12</v>
      </c>
      <c r="J16" s="1"/>
      <c r="K16" t="s">
        <v>24</v>
      </c>
    </row>
    <row r="17" spans="1:11" x14ac:dyDescent="0.25">
      <c r="A17" t="s">
        <v>12</v>
      </c>
      <c r="B17" t="s">
        <v>13</v>
      </c>
      <c r="C17" t="s">
        <v>14</v>
      </c>
      <c r="D17" t="s">
        <v>15</v>
      </c>
      <c r="E17" s="4" t="s">
        <v>18</v>
      </c>
    </row>
    <row r="18" spans="1:11" x14ac:dyDescent="0.25">
      <c r="A18" t="s">
        <v>16</v>
      </c>
      <c r="B18" s="7">
        <v>0.57099999999999995</v>
      </c>
      <c r="C18">
        <v>2.2999999999999998</v>
      </c>
      <c r="D18" s="4">
        <f>1929.6*(5550/4050)</f>
        <v>2644.2666666666669</v>
      </c>
      <c r="E18" s="4">
        <f>C18*D18</f>
        <v>6081.8133333333335</v>
      </c>
      <c r="H18" t="s">
        <v>62</v>
      </c>
      <c r="I18" t="s">
        <v>67</v>
      </c>
      <c r="J18" t="s">
        <v>68</v>
      </c>
      <c r="K18" t="s">
        <v>66</v>
      </c>
    </row>
    <row r="19" spans="1:11" x14ac:dyDescent="0.25">
      <c r="A19" t="s">
        <v>17</v>
      </c>
      <c r="B19" s="7">
        <v>0.42899999999999999</v>
      </c>
      <c r="C19">
        <v>1.5</v>
      </c>
      <c r="D19" s="4">
        <f>637.5*(5550/4050)</f>
        <v>873.6111111111112</v>
      </c>
      <c r="E19" s="4">
        <f>C19*D19</f>
        <v>1310.4166666666667</v>
      </c>
      <c r="H19" t="s">
        <v>64</v>
      </c>
      <c r="I19" s="6">
        <v>0.308</v>
      </c>
      <c r="J19" s="6">
        <v>0.97619999999999996</v>
      </c>
    </row>
    <row r="20" spans="1:11" x14ac:dyDescent="0.25">
      <c r="A20" s="5" t="s">
        <v>30</v>
      </c>
      <c r="E20" s="4">
        <f>(E18*B18)+(E19*B19)</f>
        <v>4034.8841633333332</v>
      </c>
      <c r="F20" t="s">
        <v>60</v>
      </c>
      <c r="H20" t="s">
        <v>65</v>
      </c>
      <c r="I20" s="6">
        <v>0.4163</v>
      </c>
      <c r="J20" s="6">
        <v>0.98309999999999997</v>
      </c>
    </row>
    <row r="21" spans="1:11" x14ac:dyDescent="0.25">
      <c r="A21" s="5" t="s">
        <v>19</v>
      </c>
      <c r="E21" s="4">
        <f>E20*(F21/F16)</f>
        <v>2871.2658840199747</v>
      </c>
      <c r="F21" s="1">
        <v>0.19</v>
      </c>
      <c r="H21" t="s">
        <v>63</v>
      </c>
      <c r="I21" s="6">
        <v>0.57969999999999999</v>
      </c>
      <c r="J21" s="6">
        <v>0.99019999999999997</v>
      </c>
    </row>
    <row r="22" spans="1:11" x14ac:dyDescent="0.25">
      <c r="A22" s="2" t="s">
        <v>32</v>
      </c>
      <c r="E22" s="9">
        <f>E15-E21</f>
        <v>4297.5215682022472</v>
      </c>
    </row>
    <row r="23" spans="1:11" x14ac:dyDescent="0.25">
      <c r="A23" s="3"/>
      <c r="H2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Assumptions and Estimates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Kelchen</dc:creator>
  <cp:lastModifiedBy>Kelchen</cp:lastModifiedBy>
  <dcterms:created xsi:type="dcterms:W3CDTF">2012-11-05T21:03:13Z</dcterms:created>
  <dcterms:modified xsi:type="dcterms:W3CDTF">2012-12-12T23:03:11Z</dcterms:modified>
</cp:coreProperties>
</file>